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6-17 to post 17-18" sheetId="1" r:id="rId1"/>
    <sheet name="15-16 to post 16-17" sheetId="2" r:id="rId2"/>
    <sheet name="14-15 to post 15-16" sheetId="3" r:id="rId3"/>
    <sheet name="09-10 to post 10-11" sheetId="4" r:id="rId4"/>
    <sheet name="10-11 to post 11-12" sheetId="5" r:id="rId5"/>
    <sheet name="11-12 to post 12-13" sheetId="6" r:id="rId6"/>
    <sheet name="Sheet3" sheetId="7" r:id="rId7"/>
    <sheet name="12-13 to post 13-14" sheetId="8" r:id="rId8"/>
    <sheet name="13-14 to post 14-15" sheetId="9" r:id="rId9"/>
  </sheets>
  <definedNames>
    <definedName name="_xlnm.Print_Area" localSheetId="1">'15-16 to post 16-17'!$A$1:$H$28</definedName>
  </definedNames>
  <calcPr fullCalcOnLoad="1"/>
</workbook>
</file>

<file path=xl/sharedStrings.xml><?xml version="1.0" encoding="utf-8"?>
<sst xmlns="http://schemas.openxmlformats.org/spreadsheetml/2006/main" count="214" uniqueCount="76">
  <si>
    <t>Dexter Community Schools</t>
  </si>
  <si>
    <t>Employee Compensation Information</t>
  </si>
  <si>
    <t xml:space="preserve">Under this heading, provide a report of the total salary and a description and cost of each and every fringe benefit </t>
  </si>
  <si>
    <t xml:space="preserve">included in the compensation package for the superintendent of the district or intermediate district and for each </t>
  </si>
  <si>
    <t xml:space="preserve">employee of the district or intermediate district whose salary exceeds $100,000 (e.g. a pdf file). For purposes of </t>
  </si>
  <si>
    <t>this reporting, salary will be defined similar to that reported as Medicare wages on the employee’s prior year W2.</t>
  </si>
  <si>
    <t>This data must be all inclusive and should be data from the most recently completed year for which they are available.</t>
  </si>
  <si>
    <t>Employee</t>
  </si>
  <si>
    <t>Superintendent</t>
  </si>
  <si>
    <t>Assistant Superintendent</t>
  </si>
  <si>
    <t>Executive Director of Finance &amp; Business</t>
  </si>
  <si>
    <t>High School Principal</t>
  </si>
  <si>
    <t>Middle School Principal</t>
  </si>
  <si>
    <t>Elementary Principal (K-2)</t>
  </si>
  <si>
    <t>Elementary Principal (3-4)</t>
  </si>
  <si>
    <t xml:space="preserve">In compliance with Guidelines for Statutory Requirement MCL 388.1618 (2) and (3): </t>
  </si>
  <si>
    <t>2010-11</t>
  </si>
  <si>
    <t>Health Care Plans (2)</t>
  </si>
  <si>
    <t>(2) Includes cost of employee medical, dental, vision, disability, life, and worker's compensation benefits</t>
  </si>
  <si>
    <t>(1) Includes tax deferred annuity, educational stipend, longevity stipend, and additional contracted work days</t>
  </si>
  <si>
    <t>Contract Salary</t>
  </si>
  <si>
    <t>Supplemental Stipends (1)</t>
  </si>
  <si>
    <t>Report of compensation of contracts from the 2009-10 fiscal year.</t>
  </si>
  <si>
    <t>Included are the Superintendent and each employee of the district whose 2009 Medicare wages exceeded $100,000.</t>
  </si>
  <si>
    <t>2011-12</t>
  </si>
  <si>
    <t>Report of compensation of contracts from the 2010-11 fiscal year.</t>
  </si>
  <si>
    <t>Included are the Superintendent and each employee of the district whose 2010 Medicare wages exceeded $100,000.</t>
  </si>
  <si>
    <t>Chief Financial Officer</t>
  </si>
  <si>
    <t>2012-13</t>
  </si>
  <si>
    <t>Report of compensation of contracts from the 2011-12 fiscal year.</t>
  </si>
  <si>
    <t>Included are the Superintendent and each employee of the district whose 2011 Medicare wages exceeded $100,000.</t>
  </si>
  <si>
    <t>High School Teacher</t>
  </si>
  <si>
    <t>Director of Special Education</t>
  </si>
  <si>
    <t>Elementary School Principal</t>
  </si>
  <si>
    <t>High School/Elementary School Music Teacher</t>
  </si>
  <si>
    <t>Elementary School Teacher (3)</t>
  </si>
  <si>
    <t>High School Teacher (3)</t>
  </si>
  <si>
    <t>(3) Retired June 2011. Calendar year 2011 wages exceeded $100,000 includes 10-11 contract paid 1/1/11-6/30/11,</t>
  </si>
  <si>
    <t xml:space="preserve">   retirement incentive 6/30/11, terminal leave pay 6/30/11, and retire rehire contract for 11-12, if offered.</t>
  </si>
  <si>
    <t xml:space="preserve">   extra duty/coaching stipends, overload stipends</t>
  </si>
  <si>
    <t xml:space="preserve">(1) Includes tax deferred annuity, educational stipend, longevity stipend, additional contracted work days, </t>
  </si>
  <si>
    <t>2013-14</t>
  </si>
  <si>
    <t>Report of compensation of contracts from the 2012-13 fiscal year.</t>
  </si>
  <si>
    <t>Included are the Superintendent and each employee of the district whose 2012 Medicare wages exceeded $100,000.</t>
  </si>
  <si>
    <t xml:space="preserve">   retirement incentive 6/30/12, terminal leave pay 6/30/12, and retire rehire contract for 12-13, if offered.</t>
  </si>
  <si>
    <r>
      <t xml:space="preserve">Supplemental Stipends </t>
    </r>
    <r>
      <rPr>
        <sz val="8"/>
        <rFont val="Times New Roman"/>
        <family val="1"/>
      </rPr>
      <t>(1)</t>
    </r>
  </si>
  <si>
    <r>
      <t xml:space="preserve">Health Care Plans </t>
    </r>
    <r>
      <rPr>
        <sz val="8"/>
        <rFont val="Times New Roman"/>
        <family val="1"/>
      </rPr>
      <t>(2)</t>
    </r>
  </si>
  <si>
    <r>
      <t xml:space="preserve">Elementary School Teacher </t>
    </r>
    <r>
      <rPr>
        <sz val="8"/>
        <rFont val="Times New Roman"/>
        <family val="1"/>
      </rPr>
      <t>(3)</t>
    </r>
  </si>
  <si>
    <t>Superintendent (7/1/12-12/31/12) *</t>
  </si>
  <si>
    <t>* Prorated compensation 6 months</t>
  </si>
  <si>
    <t>Interim Superintendent (1/1/13-6/30/13) *</t>
  </si>
  <si>
    <t xml:space="preserve">   extra duty/coaching stipends, overload stipends, taxable fringe benefits</t>
  </si>
  <si>
    <r>
      <t>(1)</t>
    </r>
    <r>
      <rPr>
        <sz val="10"/>
        <rFont val="Times New Roman"/>
        <family val="1"/>
      </rPr>
      <t xml:space="preserve"> Includes tax deferred annuity, educational stipend, longevity stipend, additional contracted work days, </t>
    </r>
  </si>
  <si>
    <r>
      <t>(2)</t>
    </r>
    <r>
      <rPr>
        <sz val="10"/>
        <rFont val="Times New Roman"/>
        <family val="1"/>
      </rPr>
      <t xml:space="preserve"> Includes district cost of employee medical, dental, vision, disability, life, and worker's compensation benefits</t>
    </r>
  </si>
  <si>
    <r>
      <t>(3)</t>
    </r>
    <r>
      <rPr>
        <sz val="10"/>
        <rFont val="Times New Roman"/>
        <family val="1"/>
      </rPr>
      <t xml:space="preserve"> Retired June 2012. Calendar year 2012 wages exceeded $100,000 includes 11-12 contract paid 1/1/12-6/30/12,</t>
    </r>
  </si>
  <si>
    <t>2014-15</t>
  </si>
  <si>
    <t>Report of compensation of contracts from the 2013-14 fiscal year.</t>
  </si>
  <si>
    <t>Included are the Superintendent and each employee of the district whose 2013 Medicare wages exceeded $100,000.</t>
  </si>
  <si>
    <t>Superintendent (8/19/13-6/30/14)</t>
  </si>
  <si>
    <t>Superintendent (7/1/13-8/18/13)</t>
  </si>
  <si>
    <t>Elementary/High School Teacher</t>
  </si>
  <si>
    <t>2015-16</t>
  </si>
  <si>
    <t>Report of compensation of contracts from the 2014-15 fiscal year.</t>
  </si>
  <si>
    <t>Included are the Superintendent and each employee of the district whose 2014 Medicare wages exceeded $100,000.</t>
  </si>
  <si>
    <t>Executive Director of Instruction</t>
  </si>
  <si>
    <t>2016-17</t>
  </si>
  <si>
    <t>Report of compensation of contracts from the 2015-16 fiscal year.</t>
  </si>
  <si>
    <t>Included are the Superintendent and each employee of the district whose 2015 Medicare wages exceeded $100,000.</t>
  </si>
  <si>
    <t>MPSERS</t>
  </si>
  <si>
    <t>FICA/Medicare (Employer)</t>
  </si>
  <si>
    <t>Suppl Life</t>
  </si>
  <si>
    <t>Workers Comp</t>
  </si>
  <si>
    <t>(2) Includes district cost of employee medical, dental, vision, disability, and life</t>
  </si>
  <si>
    <t>2017-18</t>
  </si>
  <si>
    <t>Report of compensation of contracts from the 2016-17 fiscal year.</t>
  </si>
  <si>
    <t>Included are the Superintendent and each employee of the district whose 2016 Medicare wages exceeded $100,000.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</si>
</sst>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  <numFmt numFmtId="167" formatCode="[$-409]h:mm:ss\ AM/PM"/>
  </numFmts>
  <fonts count="43">
    <font>
      <sz val="10"/>
      <name val="Arial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165" fontId="4" fillId="0" borderId="14" xfId="44" applyNumberFormat="1" applyFont="1" applyBorder="1" applyAlignment="1">
      <alignment wrapText="1"/>
    </xf>
    <xf numFmtId="165" fontId="4" fillId="0" borderId="15" xfId="44" applyNumberFormat="1" applyFont="1" applyBorder="1" applyAlignment="1">
      <alignment wrapText="1"/>
    </xf>
    <xf numFmtId="0" fontId="4" fillId="0" borderId="16" xfId="0" applyFont="1" applyBorder="1" applyAlignment="1">
      <alignment/>
    </xf>
    <xf numFmtId="165" fontId="4" fillId="0" borderId="17" xfId="44" applyNumberFormat="1" applyFont="1" applyBorder="1" applyAlignment="1">
      <alignment wrapText="1"/>
    </xf>
    <xf numFmtId="165" fontId="4" fillId="0" borderId="18" xfId="44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9" xfId="0" applyFont="1" applyBorder="1" applyAlignment="1">
      <alignment/>
    </xf>
    <xf numFmtId="165" fontId="4" fillId="0" borderId="20" xfId="44" applyNumberFormat="1" applyFont="1" applyBorder="1" applyAlignment="1">
      <alignment wrapText="1"/>
    </xf>
    <xf numFmtId="165" fontId="4" fillId="0" borderId="21" xfId="44" applyNumberFormat="1" applyFont="1" applyBorder="1" applyAlignment="1">
      <alignment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0" fontId="4" fillId="0" borderId="22" xfId="0" applyFont="1" applyBorder="1" applyAlignment="1">
      <alignment wrapText="1"/>
    </xf>
    <xf numFmtId="165" fontId="4" fillId="0" borderId="23" xfId="44" applyNumberFormat="1" applyFont="1" applyBorder="1" applyAlignment="1">
      <alignment wrapText="1"/>
    </xf>
    <xf numFmtId="165" fontId="4" fillId="0" borderId="24" xfId="44" applyNumberFormat="1" applyFont="1" applyBorder="1" applyAlignment="1">
      <alignment wrapText="1"/>
    </xf>
    <xf numFmtId="0" fontId="4" fillId="0" borderId="25" xfId="0" applyFont="1" applyBorder="1" applyAlignment="1">
      <alignment/>
    </xf>
    <xf numFmtId="165" fontId="4" fillId="0" borderId="26" xfId="44" applyNumberFormat="1" applyFont="1" applyBorder="1" applyAlignment="1">
      <alignment wrapText="1"/>
    </xf>
    <xf numFmtId="165" fontId="4" fillId="0" borderId="27" xfId="44" applyNumberFormat="1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5" fillId="0" borderId="0" xfId="0" applyFont="1" applyAlignment="1">
      <alignment/>
    </xf>
    <xf numFmtId="165" fontId="4" fillId="0" borderId="17" xfId="44" applyNumberFormat="1" applyFont="1" applyFill="1" applyBorder="1" applyAlignment="1">
      <alignment wrapText="1"/>
    </xf>
    <xf numFmtId="165" fontId="4" fillId="0" borderId="18" xfId="44" applyNumberFormat="1" applyFont="1" applyFill="1" applyBorder="1" applyAlignment="1">
      <alignment wrapText="1"/>
    </xf>
    <xf numFmtId="165" fontId="4" fillId="0" borderId="23" xfId="44" applyNumberFormat="1" applyFont="1" applyFill="1" applyBorder="1" applyAlignment="1">
      <alignment wrapText="1"/>
    </xf>
    <xf numFmtId="165" fontId="4" fillId="0" borderId="24" xfId="44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165" fontId="4" fillId="0" borderId="0" xfId="44" applyNumberFormat="1" applyFont="1" applyBorder="1" applyAlignment="1">
      <alignment wrapText="1"/>
    </xf>
    <xf numFmtId="165" fontId="4" fillId="0" borderId="14" xfId="44" applyNumberFormat="1" applyFont="1" applyFill="1" applyBorder="1" applyAlignment="1">
      <alignment wrapText="1"/>
    </xf>
    <xf numFmtId="165" fontId="4" fillId="0" borderId="31" xfId="44" applyNumberFormat="1" applyFont="1" applyBorder="1" applyAlignment="1">
      <alignment wrapText="1"/>
    </xf>
    <xf numFmtId="165" fontId="4" fillId="0" borderId="32" xfId="44" applyNumberFormat="1" applyFont="1" applyBorder="1" applyAlignment="1">
      <alignment wrapText="1"/>
    </xf>
    <xf numFmtId="165" fontId="4" fillId="0" borderId="33" xfId="44" applyNumberFormat="1" applyFont="1" applyBorder="1" applyAlignment="1">
      <alignment wrapText="1"/>
    </xf>
    <xf numFmtId="165" fontId="4" fillId="0" borderId="34" xfId="44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35" xfId="0" applyFont="1" applyBorder="1" applyAlignment="1">
      <alignment wrapText="1"/>
    </xf>
    <xf numFmtId="165" fontId="4" fillId="0" borderId="36" xfId="44" applyNumberFormat="1" applyFont="1" applyBorder="1" applyAlignment="1">
      <alignment wrapText="1"/>
    </xf>
    <xf numFmtId="165" fontId="4" fillId="0" borderId="37" xfId="44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9.28125" style="3" customWidth="1"/>
    <col min="2" max="2" width="12.57421875" style="3" customWidth="1"/>
    <col min="3" max="3" width="12.7109375" style="3" customWidth="1"/>
    <col min="4" max="4" width="11.421875" style="3" customWidth="1"/>
    <col min="5" max="5" width="14.7109375" style="3" customWidth="1"/>
    <col min="6" max="6" width="11.57421875" style="3" customWidth="1"/>
    <col min="7" max="7" width="8.7109375" style="3" customWidth="1"/>
    <col min="8" max="8" width="8.8515625" style="3" customWidth="1"/>
    <col min="9" max="9" width="12.28125" style="3" customWidth="1"/>
    <col min="10" max="16384" width="9.140625" style="3" customWidth="1"/>
  </cols>
  <sheetData>
    <row r="1" ht="18.75">
      <c r="C1" s="47" t="s">
        <v>0</v>
      </c>
    </row>
    <row r="2" ht="18.75">
      <c r="C2" s="47" t="s">
        <v>1</v>
      </c>
    </row>
    <row r="3" ht="18.75">
      <c r="C3" s="47" t="s">
        <v>73</v>
      </c>
    </row>
    <row r="5" ht="15.75">
      <c r="A5" s="45" t="s">
        <v>15</v>
      </c>
    </row>
    <row r="6" ht="15.75">
      <c r="A6" s="45" t="s">
        <v>2</v>
      </c>
    </row>
    <row r="7" ht="15.75">
      <c r="A7" s="45" t="s">
        <v>3</v>
      </c>
    </row>
    <row r="8" ht="15.75">
      <c r="A8" s="45" t="s">
        <v>4</v>
      </c>
    </row>
    <row r="9" ht="15.75">
      <c r="A9" s="45" t="s">
        <v>5</v>
      </c>
    </row>
    <row r="10" ht="15.75">
      <c r="A10" s="45" t="s">
        <v>6</v>
      </c>
    </row>
    <row r="14" ht="18.75">
      <c r="A14" s="46" t="s">
        <v>74</v>
      </c>
    </row>
    <row r="15" ht="15.75">
      <c r="A15" s="18" t="s">
        <v>75</v>
      </c>
    </row>
    <row r="16" ht="16.5" thickBot="1">
      <c r="A16" s="18"/>
    </row>
    <row r="17" spans="1:8" ht="32.25" thickBot="1">
      <c r="A17" s="5" t="s">
        <v>7</v>
      </c>
      <c r="B17" s="6" t="s">
        <v>20</v>
      </c>
      <c r="C17" s="6" t="s">
        <v>45</v>
      </c>
      <c r="D17" s="7" t="s">
        <v>46</v>
      </c>
      <c r="E17" s="42" t="s">
        <v>69</v>
      </c>
      <c r="F17" s="7" t="s">
        <v>68</v>
      </c>
      <c r="G17" s="7" t="s">
        <v>70</v>
      </c>
      <c r="H17" s="7" t="s">
        <v>71</v>
      </c>
    </row>
    <row r="18" spans="1:9" ht="15.75">
      <c r="A18" s="8" t="s">
        <v>8</v>
      </c>
      <c r="B18" s="9">
        <v>145000</v>
      </c>
      <c r="C18" s="36">
        <f>10000+10000+10080+8942</f>
        <v>39022</v>
      </c>
      <c r="D18" s="39">
        <f>D19</f>
        <v>10423.24</v>
      </c>
      <c r="E18" s="40">
        <f>7347+2417.68</f>
        <v>9764.68</v>
      </c>
      <c r="F18" s="40">
        <f>(B18+C18)*36.9%</f>
        <v>67904.118</v>
      </c>
      <c r="G18" s="9">
        <f>45.83*12</f>
        <v>549.96</v>
      </c>
      <c r="H18" s="38">
        <f aca="true" t="shared" si="0" ref="H18:H24">(B18+C18)*0.31%</f>
        <v>570.4682</v>
      </c>
      <c r="I18" s="19"/>
    </row>
    <row r="19" spans="1:9" ht="15.75">
      <c r="A19" s="11" t="s">
        <v>27</v>
      </c>
      <c r="B19" s="12">
        <v>106465</v>
      </c>
      <c r="C19" s="30">
        <f>(B19/219*10)+14700+2500+24000</f>
        <v>46061.41552511416</v>
      </c>
      <c r="D19" s="40">
        <f>10552-G19</f>
        <v>10423.24</v>
      </c>
      <c r="E19" s="40">
        <f>7302.82+1707.92</f>
        <v>9010.74</v>
      </c>
      <c r="F19" s="40">
        <f aca="true" t="shared" si="1" ref="F19:F24">(B19+C19)*36.9%</f>
        <v>56282.247328767124</v>
      </c>
      <c r="G19" s="12">
        <f>10.73*12</f>
        <v>128.76</v>
      </c>
      <c r="H19" s="38">
        <f t="shared" si="0"/>
        <v>472.8318881278539</v>
      </c>
      <c r="I19" s="19"/>
    </row>
    <row r="20" spans="1:9" ht="15.75">
      <c r="A20" s="11" t="s">
        <v>64</v>
      </c>
      <c r="B20" s="12">
        <v>106465</v>
      </c>
      <c r="C20" s="30">
        <f>4259+4200+(B19/219*5)</f>
        <v>10889.707762557078</v>
      </c>
      <c r="D20" s="40">
        <f>10552-G20</f>
        <v>10423.24</v>
      </c>
      <c r="E20" s="40">
        <f>6506.81+1521.75</f>
        <v>8028.56</v>
      </c>
      <c r="F20" s="40">
        <f t="shared" si="1"/>
        <v>43303.88716438356</v>
      </c>
      <c r="G20" s="12">
        <f>10.73*12</f>
        <v>128.76</v>
      </c>
      <c r="H20" s="38">
        <f t="shared" si="0"/>
        <v>363.7995940639269</v>
      </c>
      <c r="I20" s="19"/>
    </row>
    <row r="21" spans="1:9" ht="15.75">
      <c r="A21" s="11" t="s">
        <v>11</v>
      </c>
      <c r="B21" s="12">
        <v>110953</v>
      </c>
      <c r="C21" s="30">
        <f>4438+(B21/222*5)+5400</f>
        <v>12336.941441441442</v>
      </c>
      <c r="D21" s="40">
        <f>10552-G21</f>
        <v>10423.24</v>
      </c>
      <c r="E21" s="40">
        <f>6839.2+1599.49</f>
        <v>8438.69</v>
      </c>
      <c r="F21" s="40">
        <f t="shared" si="1"/>
        <v>45493.98839189189</v>
      </c>
      <c r="G21" s="12">
        <f>10.73*12</f>
        <v>128.76</v>
      </c>
      <c r="H21" s="38">
        <f t="shared" si="0"/>
        <v>382.19881846846846</v>
      </c>
      <c r="I21" s="19"/>
    </row>
    <row r="22" spans="1:9" ht="15.75">
      <c r="A22" s="14" t="s">
        <v>12</v>
      </c>
      <c r="B22" s="30">
        <v>105948</v>
      </c>
      <c r="C22" s="30">
        <f>4238+(B22/217*5)+10200</f>
        <v>16879.19815668203</v>
      </c>
      <c r="D22" s="40">
        <f>10552-G22</f>
        <v>10423.24</v>
      </c>
      <c r="E22" s="40">
        <f>6939.06+1622.85</f>
        <v>8561.91</v>
      </c>
      <c r="F22" s="40">
        <f t="shared" si="1"/>
        <v>45323.23611981567</v>
      </c>
      <c r="G22" s="12">
        <f>10.73*12</f>
        <v>128.76</v>
      </c>
      <c r="H22" s="38">
        <f t="shared" si="0"/>
        <v>380.7643142857143</v>
      </c>
      <c r="I22" s="19"/>
    </row>
    <row r="23" spans="1:9" ht="15.75">
      <c r="A23" s="20" t="s">
        <v>33</v>
      </c>
      <c r="B23" s="32">
        <v>100943</v>
      </c>
      <c r="C23" s="30">
        <f>4038+6600+(B23/217*5)</f>
        <v>12963.875576036866</v>
      </c>
      <c r="D23" s="40">
        <f>10552-G23</f>
        <v>10423.24</v>
      </c>
      <c r="E23" s="40">
        <f>6600.16+1543.58</f>
        <v>8143.74</v>
      </c>
      <c r="F23" s="40">
        <f t="shared" si="1"/>
        <v>42031.6370875576</v>
      </c>
      <c r="G23" s="12">
        <f>10.73*12</f>
        <v>128.76</v>
      </c>
      <c r="H23" s="38">
        <f t="shared" si="0"/>
        <v>353.1113142857143</v>
      </c>
      <c r="I23" s="19"/>
    </row>
    <row r="24" spans="1:9" ht="31.5">
      <c r="A24" s="20" t="s">
        <v>34</v>
      </c>
      <c r="B24" s="32">
        <v>85963</v>
      </c>
      <c r="C24" s="32">
        <f>1000+209.85+1399+1399+1399+3637+1119+500+292.4+7434.64</f>
        <v>18389.89</v>
      </c>
      <c r="D24" s="43">
        <f>9518-G24</f>
        <v>9518</v>
      </c>
      <c r="E24" s="43">
        <f>6208.67+1452.03</f>
        <v>7660.7</v>
      </c>
      <c r="F24" s="43">
        <f t="shared" si="1"/>
        <v>38506.21641</v>
      </c>
      <c r="G24" s="12"/>
      <c r="H24" s="38">
        <f t="shared" si="0"/>
        <v>323.49395899999996</v>
      </c>
      <c r="I24" s="19"/>
    </row>
    <row r="25" spans="1:9" ht="16.5" thickBot="1">
      <c r="A25" s="15"/>
      <c r="B25" s="16"/>
      <c r="C25" s="16"/>
      <c r="D25" s="37"/>
      <c r="E25" s="37"/>
      <c r="F25" s="37"/>
      <c r="G25" s="37"/>
      <c r="H25" s="17"/>
      <c r="I25" s="19"/>
    </row>
    <row r="26" spans="1:9" ht="15.75">
      <c r="A26" s="34"/>
      <c r="B26" s="35"/>
      <c r="C26" s="35"/>
      <c r="D26" s="35"/>
      <c r="E26" s="35"/>
      <c r="F26" s="35"/>
      <c r="G26" s="35"/>
      <c r="H26" s="35"/>
      <c r="I26" s="19"/>
    </row>
    <row r="27" ht="12.75">
      <c r="A27" s="4" t="s">
        <v>40</v>
      </c>
    </row>
    <row r="28" ht="12.75">
      <c r="A28" s="4" t="s">
        <v>51</v>
      </c>
    </row>
    <row r="29" ht="12.75">
      <c r="A29" s="4" t="s">
        <v>72</v>
      </c>
    </row>
    <row r="30" ht="12.75">
      <c r="A30" s="29"/>
    </row>
    <row r="31" spans="1:8" ht="12.75">
      <c r="A31" s="4"/>
      <c r="F31" s="41"/>
      <c r="G31" s="41"/>
      <c r="H31" s="41"/>
    </row>
    <row r="32" spans="6:8" ht="12.75">
      <c r="F32" s="41"/>
      <c r="G32" s="41"/>
      <c r="H32" s="41"/>
    </row>
    <row r="33" spans="6:8" ht="12.75">
      <c r="F33" s="41"/>
      <c r="G33" s="41"/>
      <c r="H33" s="41"/>
    </row>
    <row r="34" spans="6:8" ht="12.75">
      <c r="F34" s="41"/>
      <c r="G34" s="41"/>
      <c r="H34" s="41"/>
    </row>
    <row r="35" spans="6:8" ht="12.75">
      <c r="F35" s="41"/>
      <c r="G35" s="41"/>
      <c r="H35" s="41"/>
    </row>
    <row r="36" spans="6:8" ht="12.75">
      <c r="F36" s="41"/>
      <c r="G36" s="41"/>
      <c r="H36" s="41"/>
    </row>
    <row r="37" spans="6:8" ht="12.75">
      <c r="F37" s="41"/>
      <c r="G37" s="41"/>
      <c r="H37" s="41"/>
    </row>
    <row r="38" spans="6:8" ht="12.75">
      <c r="F38" s="41"/>
      <c r="G38" s="41"/>
      <c r="H38" s="41"/>
    </row>
    <row r="39" spans="6:8" ht="12.75">
      <c r="F39" s="41"/>
      <c r="G39" s="41"/>
      <c r="H39" s="41"/>
    </row>
    <row r="40" spans="6:8" ht="12.75">
      <c r="F40" s="41"/>
      <c r="G40" s="41"/>
      <c r="H40" s="41"/>
    </row>
    <row r="41" spans="6:8" ht="12.75">
      <c r="F41" s="41"/>
      <c r="G41" s="41"/>
      <c r="H41" s="41"/>
    </row>
  </sheetData>
  <sheetProtection/>
  <printOptions/>
  <pageMargins left="0.7" right="0.7" top="0.75" bottom="0.75" header="0.3" footer="0.3"/>
  <pageSetup fitToHeight="1" fitToWidth="1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9.28125" style="3" customWidth="1"/>
    <col min="2" max="2" width="12.57421875" style="3" customWidth="1"/>
    <col min="3" max="3" width="12.7109375" style="3" customWidth="1"/>
    <col min="4" max="4" width="11.421875" style="3" customWidth="1"/>
    <col min="5" max="5" width="14.7109375" style="3" customWidth="1"/>
    <col min="6" max="6" width="11.57421875" style="3" customWidth="1"/>
    <col min="7" max="7" width="8.7109375" style="3" customWidth="1"/>
    <col min="8" max="8" width="8.8515625" style="3" customWidth="1"/>
    <col min="9" max="9" width="12.28125" style="3" customWidth="1"/>
    <col min="10" max="16384" width="9.140625" style="3" customWidth="1"/>
  </cols>
  <sheetData>
    <row r="1" ht="18.75">
      <c r="C1" s="47" t="s">
        <v>0</v>
      </c>
    </row>
    <row r="2" ht="18.75">
      <c r="C2" s="47" t="s">
        <v>1</v>
      </c>
    </row>
    <row r="3" ht="18.75">
      <c r="C3" s="47" t="s">
        <v>65</v>
      </c>
    </row>
    <row r="5" ht="15.75">
      <c r="A5" s="45" t="s">
        <v>15</v>
      </c>
    </row>
    <row r="6" ht="15.75">
      <c r="A6" s="45" t="s">
        <v>2</v>
      </c>
    </row>
    <row r="7" ht="15.75">
      <c r="A7" s="45" t="s">
        <v>3</v>
      </c>
    </row>
    <row r="8" ht="15.75">
      <c r="A8" s="45" t="s">
        <v>4</v>
      </c>
    </row>
    <row r="9" ht="15.75">
      <c r="A9" s="45" t="s">
        <v>5</v>
      </c>
    </row>
    <row r="10" ht="15.75">
      <c r="A10" s="45" t="s">
        <v>6</v>
      </c>
    </row>
    <row r="14" ht="18.75">
      <c r="A14" s="46" t="s">
        <v>66</v>
      </c>
    </row>
    <row r="15" ht="15.75">
      <c r="A15" s="18" t="s">
        <v>67</v>
      </c>
    </row>
    <row r="16" ht="16.5" thickBot="1">
      <c r="A16" s="18"/>
    </row>
    <row r="17" spans="1:8" ht="32.25" thickBot="1">
      <c r="A17" s="5" t="s">
        <v>7</v>
      </c>
      <c r="B17" s="6" t="s">
        <v>20</v>
      </c>
      <c r="C17" s="6" t="s">
        <v>45</v>
      </c>
      <c r="D17" s="7" t="s">
        <v>46</v>
      </c>
      <c r="E17" s="42" t="s">
        <v>69</v>
      </c>
      <c r="F17" s="7" t="s">
        <v>68</v>
      </c>
      <c r="G17" s="7" t="s">
        <v>70</v>
      </c>
      <c r="H17" s="7" t="s">
        <v>71</v>
      </c>
    </row>
    <row r="18" spans="1:9" ht="15.75">
      <c r="A18" s="8" t="s">
        <v>8</v>
      </c>
      <c r="B18" s="9">
        <v>140000</v>
      </c>
      <c r="C18" s="36">
        <f>9000+10000+10080+8654</f>
        <v>37734</v>
      </c>
      <c r="D18" s="39">
        <f>D19</f>
        <v>10031.24</v>
      </c>
      <c r="E18" s="40">
        <f>5605.7+1311.05+1741.3+1059.7</f>
        <v>9717.75</v>
      </c>
      <c r="F18" s="43">
        <f aca="true" t="shared" si="0" ref="F18:F23">(B18+C18)*37.06%</f>
        <v>65868.2204</v>
      </c>
      <c r="G18" s="9">
        <f>45.83*12</f>
        <v>549.96</v>
      </c>
      <c r="H18" s="38">
        <f aca="true" t="shared" si="1" ref="H18:H23">(B18+C18)*0.31%</f>
        <v>550.9754</v>
      </c>
      <c r="I18" s="19"/>
    </row>
    <row r="19" spans="1:9" ht="15.75">
      <c r="A19" s="11" t="s">
        <v>27</v>
      </c>
      <c r="B19" s="12">
        <v>105411</v>
      </c>
      <c r="C19" s="30">
        <f>(B19/219*10)+13200+1250+24000</f>
        <v>43263.28767123287</v>
      </c>
      <c r="D19" s="40">
        <f>10160-G19</f>
        <v>10031.24</v>
      </c>
      <c r="E19" s="40">
        <f>3674.08+859.27+3485.47+815.15</f>
        <v>8833.97</v>
      </c>
      <c r="F19" s="21">
        <f t="shared" si="0"/>
        <v>55098.691010958915</v>
      </c>
      <c r="G19" s="12">
        <f>10.73*12</f>
        <v>128.76</v>
      </c>
      <c r="H19" s="38">
        <f t="shared" si="1"/>
        <v>460.89029178082194</v>
      </c>
      <c r="I19" s="19"/>
    </row>
    <row r="20" spans="1:9" ht="15.75">
      <c r="A20" s="11" t="s">
        <v>64</v>
      </c>
      <c r="B20" s="12">
        <v>103583</v>
      </c>
      <c r="C20" s="30">
        <f>4164+4200+(B19/219*5)</f>
        <v>10770.643835616438</v>
      </c>
      <c r="D20" s="40">
        <f>10160-G20</f>
        <v>10031.24</v>
      </c>
      <c r="E20" s="40">
        <f>3325.57+777.75+3075.8+719.34</f>
        <v>7898.46</v>
      </c>
      <c r="F20" s="12">
        <f t="shared" si="0"/>
        <v>42379.46040547946</v>
      </c>
      <c r="G20" s="12">
        <f>10.73*12</f>
        <v>128.76</v>
      </c>
      <c r="H20" s="38">
        <f t="shared" si="1"/>
        <v>354.496295890411</v>
      </c>
      <c r="I20" s="19"/>
    </row>
    <row r="21" spans="1:9" ht="15.75">
      <c r="A21" s="11" t="s">
        <v>11</v>
      </c>
      <c r="B21" s="12">
        <v>109855</v>
      </c>
      <c r="C21" s="30">
        <f>4416+(B21/222*5)+4200</f>
        <v>11090.211711711712</v>
      </c>
      <c r="D21" s="40">
        <f>10160-G21</f>
        <v>10031.24</v>
      </c>
      <c r="E21" s="40">
        <f>3440.75+804.71+3324.49+777.5</f>
        <v>8347.45</v>
      </c>
      <c r="F21" s="44">
        <f t="shared" si="0"/>
        <v>44822.295460360365</v>
      </c>
      <c r="G21" s="12">
        <f>10.73*12</f>
        <v>128.76</v>
      </c>
      <c r="H21" s="38">
        <f t="shared" si="1"/>
        <v>374.9301563063063</v>
      </c>
      <c r="I21" s="19"/>
    </row>
    <row r="22" spans="1:9" ht="15.75">
      <c r="A22" s="14" t="s">
        <v>12</v>
      </c>
      <c r="B22" s="30">
        <v>104899</v>
      </c>
      <c r="C22" s="30">
        <f>4217+(B22/217*5)+9000</f>
        <v>15634.027649769585</v>
      </c>
      <c r="D22" s="40">
        <f>10160-G22</f>
        <v>10031.24</v>
      </c>
      <c r="E22" s="40">
        <f>3480+813.9+3374.97+789.31</f>
        <v>8458.179999999998</v>
      </c>
      <c r="F22" s="12">
        <f t="shared" si="0"/>
        <v>44669.540047004615</v>
      </c>
      <c r="G22" s="12">
        <f>10.73*12</f>
        <v>128.76</v>
      </c>
      <c r="H22" s="38">
        <f t="shared" si="1"/>
        <v>373.6523857142857</v>
      </c>
      <c r="I22" s="19"/>
    </row>
    <row r="23" spans="1:9" ht="15.75">
      <c r="A23" s="20" t="s">
        <v>33</v>
      </c>
      <c r="B23" s="32">
        <v>99944</v>
      </c>
      <c r="C23" s="32">
        <f>4018+5400+(B23/217*5)</f>
        <v>11720.857142857143</v>
      </c>
      <c r="D23" s="40">
        <f>10160-G23</f>
        <v>10031.24</v>
      </c>
      <c r="E23" s="40">
        <f>3130.01+731.99+3216.03+752.14</f>
        <v>7830.170000000001</v>
      </c>
      <c r="F23" s="9">
        <f t="shared" si="0"/>
        <v>41382.99605714286</v>
      </c>
      <c r="G23" s="12">
        <f>10.73*12</f>
        <v>128.76</v>
      </c>
      <c r="H23" s="38">
        <f t="shared" si="1"/>
        <v>346.16105714285715</v>
      </c>
      <c r="I23" s="19"/>
    </row>
    <row r="24" spans="1:9" ht="16.5" thickBot="1">
      <c r="A24" s="15"/>
      <c r="B24" s="16"/>
      <c r="C24" s="16"/>
      <c r="D24" s="37"/>
      <c r="E24" s="37"/>
      <c r="F24" s="37"/>
      <c r="G24" s="37"/>
      <c r="H24" s="17"/>
      <c r="I24" s="19"/>
    </row>
    <row r="25" spans="1:9" ht="15.75">
      <c r="A25" s="34"/>
      <c r="B25" s="35"/>
      <c r="C25" s="35"/>
      <c r="D25" s="35"/>
      <c r="E25" s="35"/>
      <c r="F25" s="35"/>
      <c r="G25" s="35"/>
      <c r="H25" s="35"/>
      <c r="I25" s="19"/>
    </row>
    <row r="26" ht="12.75">
      <c r="A26" s="4" t="s">
        <v>40</v>
      </c>
    </row>
    <row r="27" ht="12.75">
      <c r="A27" s="4" t="s">
        <v>51</v>
      </c>
    </row>
    <row r="28" ht="12.75">
      <c r="A28" s="4" t="s">
        <v>72</v>
      </c>
    </row>
    <row r="29" ht="12.75">
      <c r="A29" s="29"/>
    </row>
    <row r="30" spans="1:8" ht="12.75">
      <c r="A30" s="4"/>
      <c r="F30" s="41"/>
      <c r="G30" s="41"/>
      <c r="H30" s="41"/>
    </row>
    <row r="31" spans="6:8" ht="12.75">
      <c r="F31" s="41"/>
      <c r="G31" s="41"/>
      <c r="H31" s="41"/>
    </row>
    <row r="32" spans="6:8" ht="12.75">
      <c r="F32" s="41"/>
      <c r="G32" s="41"/>
      <c r="H32" s="41"/>
    </row>
    <row r="33" spans="6:8" ht="12.75">
      <c r="F33" s="41"/>
      <c r="G33" s="41"/>
      <c r="H33" s="41"/>
    </row>
    <row r="34" spans="6:8" ht="12.75">
      <c r="F34" s="41"/>
      <c r="G34" s="41"/>
      <c r="H34" s="41"/>
    </row>
    <row r="35" spans="6:8" ht="12.75">
      <c r="F35" s="41"/>
      <c r="G35" s="41"/>
      <c r="H35" s="41"/>
    </row>
    <row r="36" spans="6:8" ht="12.75">
      <c r="F36" s="41"/>
      <c r="G36" s="41"/>
      <c r="H36" s="41"/>
    </row>
    <row r="37" spans="6:8" ht="12.75">
      <c r="F37" s="41"/>
      <c r="G37" s="41"/>
      <c r="H37" s="41"/>
    </row>
    <row r="38" spans="6:8" ht="12.75">
      <c r="F38" s="41"/>
      <c r="G38" s="41"/>
      <c r="H38" s="41"/>
    </row>
    <row r="39" spans="6:8" ht="12.75">
      <c r="F39" s="41"/>
      <c r="G39" s="41"/>
      <c r="H39" s="41"/>
    </row>
    <row r="40" spans="6:8" ht="12.75">
      <c r="F40" s="41"/>
      <c r="G40" s="41"/>
      <c r="H40" s="41"/>
    </row>
  </sheetData>
  <sheetProtection/>
  <printOptions/>
  <pageMargins left="0.7" right="0.7" top="0.75" bottom="0.75" header="0.3" footer="0.3"/>
  <pageSetup fitToHeight="1" fitToWidth="1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7.140625" style="3" customWidth="1"/>
    <col min="2" max="2" width="20.140625" style="3" customWidth="1"/>
    <col min="3" max="3" width="16.421875" style="3" customWidth="1"/>
    <col min="4" max="4" width="16.00390625" style="3" customWidth="1"/>
    <col min="5" max="5" width="12.28125" style="3" customWidth="1"/>
    <col min="6" max="16384" width="9.140625" style="3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61</v>
      </c>
    </row>
    <row r="5" ht="12.75">
      <c r="A5" s="2" t="s">
        <v>15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4" ht="15.75">
      <c r="A14" s="18" t="s">
        <v>62</v>
      </c>
    </row>
    <row r="15" ht="12.75">
      <c r="A15" s="4" t="s">
        <v>63</v>
      </c>
    </row>
    <row r="16" ht="16.5" thickBot="1">
      <c r="A16" s="18"/>
    </row>
    <row r="17" spans="1:4" ht="32.25" thickBot="1">
      <c r="A17" s="5" t="s">
        <v>7</v>
      </c>
      <c r="B17" s="6" t="s">
        <v>20</v>
      </c>
      <c r="C17" s="6" t="s">
        <v>45</v>
      </c>
      <c r="D17" s="7" t="s">
        <v>46</v>
      </c>
    </row>
    <row r="18" spans="1:5" ht="15.75">
      <c r="A18" s="8" t="s">
        <v>8</v>
      </c>
      <c r="B18" s="9">
        <v>140000</v>
      </c>
      <c r="C18" s="9">
        <f>9000+10000+10080+8654</f>
        <v>37734</v>
      </c>
      <c r="D18" s="10">
        <v>12917</v>
      </c>
      <c r="E18" s="19"/>
    </row>
    <row r="19" spans="1:5" ht="15.75">
      <c r="A19" s="11" t="s">
        <v>27</v>
      </c>
      <c r="B19" s="12">
        <v>105411</v>
      </c>
      <c r="C19" s="30">
        <f>(B19/219*10)+9300+1250+17500</f>
        <v>32863.28767123287</v>
      </c>
      <c r="D19" s="13">
        <v>12443</v>
      </c>
      <c r="E19" s="19"/>
    </row>
    <row r="20" spans="1:5" ht="15.75">
      <c r="A20" s="11" t="s">
        <v>64</v>
      </c>
      <c r="B20" s="12">
        <v>101755</v>
      </c>
      <c r="C20" s="30">
        <f>4070+4200+2323++(B19/219*5)</f>
        <v>12999.643835616438</v>
      </c>
      <c r="D20" s="13">
        <v>12421</v>
      </c>
      <c r="E20" s="19"/>
    </row>
    <row r="21" spans="1:5" ht="15.75">
      <c r="A21" s="11" t="s">
        <v>11</v>
      </c>
      <c r="B21" s="12">
        <v>109855</v>
      </c>
      <c r="C21" s="30">
        <f>4394+(B21/222*5)+4200</f>
        <v>11068.211711711712</v>
      </c>
      <c r="D21" s="13">
        <v>12471</v>
      </c>
      <c r="E21" s="19"/>
    </row>
    <row r="22" spans="1:5" ht="15.75">
      <c r="A22" s="14" t="s">
        <v>12</v>
      </c>
      <c r="B22" s="30">
        <v>104899</v>
      </c>
      <c r="C22" s="30">
        <f>4196+(B22/217*5)+7800</f>
        <v>14413.027649769585</v>
      </c>
      <c r="D22" s="31">
        <v>12440</v>
      </c>
      <c r="E22" s="19"/>
    </row>
    <row r="23" spans="1:5" ht="16.5" thickBot="1">
      <c r="A23" s="15"/>
      <c r="B23" s="16"/>
      <c r="C23" s="16"/>
      <c r="D23" s="17"/>
      <c r="E23" s="19"/>
    </row>
    <row r="24" spans="1:5" ht="15.75">
      <c r="A24" s="34"/>
      <c r="B24" s="35"/>
      <c r="C24" s="35"/>
      <c r="D24" s="35"/>
      <c r="E24" s="19"/>
    </row>
    <row r="25" ht="12.75">
      <c r="A25" s="29" t="s">
        <v>52</v>
      </c>
    </row>
    <row r="26" ht="12.75">
      <c r="A26" s="4" t="s">
        <v>51</v>
      </c>
    </row>
    <row r="27" ht="12.75">
      <c r="A27" s="29" t="s">
        <v>53</v>
      </c>
    </row>
    <row r="28" ht="12.75">
      <c r="A28" s="29"/>
    </row>
    <row r="29" ht="12.75">
      <c r="A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7.140625" style="3" customWidth="1"/>
    <col min="2" max="2" width="20.140625" style="3" customWidth="1"/>
    <col min="3" max="3" width="16.421875" style="3" customWidth="1"/>
    <col min="4" max="4" width="16.00390625" style="3" customWidth="1"/>
    <col min="5" max="5" width="12.28125" style="3" customWidth="1"/>
    <col min="6" max="16384" width="9.140625" style="3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16</v>
      </c>
    </row>
    <row r="5" ht="12.75">
      <c r="A5" s="2" t="s">
        <v>15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4" ht="15.75">
      <c r="A14" s="18" t="s">
        <v>22</v>
      </c>
    </row>
    <row r="15" ht="12.75">
      <c r="A15" s="4" t="s">
        <v>23</v>
      </c>
    </row>
    <row r="16" ht="16.5" thickBot="1">
      <c r="A16" s="18"/>
    </row>
    <row r="17" spans="1:4" ht="32.25" thickBot="1">
      <c r="A17" s="5" t="s">
        <v>7</v>
      </c>
      <c r="B17" s="6" t="s">
        <v>20</v>
      </c>
      <c r="C17" s="6" t="s">
        <v>21</v>
      </c>
      <c r="D17" s="7" t="s">
        <v>17</v>
      </c>
    </row>
    <row r="18" spans="1:5" ht="15.75">
      <c r="A18" s="8" t="s">
        <v>8</v>
      </c>
      <c r="B18" s="9">
        <v>135000</v>
      </c>
      <c r="C18" s="9">
        <v>6750</v>
      </c>
      <c r="D18" s="10">
        <v>13337</v>
      </c>
      <c r="E18" s="19"/>
    </row>
    <row r="19" spans="1:5" ht="15.75">
      <c r="A19" s="11" t="s">
        <v>9</v>
      </c>
      <c r="B19" s="12">
        <v>107997</v>
      </c>
      <c r="C19" s="12">
        <f>7320+4200+2411</f>
        <v>13931</v>
      </c>
      <c r="D19" s="13">
        <v>13199</v>
      </c>
      <c r="E19" s="19"/>
    </row>
    <row r="20" spans="1:5" ht="15.75">
      <c r="A20" s="11" t="s">
        <v>10</v>
      </c>
      <c r="B20" s="12">
        <v>102433</v>
      </c>
      <c r="C20" s="12">
        <f>4097+4200+1250+2339</f>
        <v>11886</v>
      </c>
      <c r="D20" s="13">
        <v>13171</v>
      </c>
      <c r="E20" s="19"/>
    </row>
    <row r="21" spans="1:5" ht="15.75">
      <c r="A21" s="11" t="s">
        <v>11</v>
      </c>
      <c r="B21" s="12">
        <v>105075</v>
      </c>
      <c r="C21" s="12">
        <f>3152+2367</f>
        <v>5519</v>
      </c>
      <c r="D21" s="13">
        <v>13184</v>
      </c>
      <c r="E21" s="19"/>
    </row>
    <row r="22" spans="1:5" ht="15.75">
      <c r="A22" s="14" t="s">
        <v>12</v>
      </c>
      <c r="B22" s="12">
        <v>101916</v>
      </c>
      <c r="C22" s="12">
        <f>4077+4200+2348</f>
        <v>10625</v>
      </c>
      <c r="D22" s="13">
        <v>13168</v>
      </c>
      <c r="E22" s="19"/>
    </row>
    <row r="23" spans="1:5" ht="15.75">
      <c r="A23" s="11" t="s">
        <v>13</v>
      </c>
      <c r="B23" s="12">
        <v>100603</v>
      </c>
      <c r="C23" s="12">
        <f>4024+4200+2318</f>
        <v>10542</v>
      </c>
      <c r="D23" s="13">
        <v>13162</v>
      </c>
      <c r="E23" s="19"/>
    </row>
    <row r="24" spans="1:5" ht="16.5" thickBot="1">
      <c r="A24" s="15" t="s">
        <v>14</v>
      </c>
      <c r="B24" s="16">
        <v>100603</v>
      </c>
      <c r="C24" s="16">
        <f>4024+10200+1000+2318</f>
        <v>17542</v>
      </c>
      <c r="D24" s="17">
        <v>13162</v>
      </c>
      <c r="E24" s="19"/>
    </row>
    <row r="26" ht="12.75">
      <c r="A26" s="4" t="s">
        <v>19</v>
      </c>
    </row>
    <row r="27" ht="12.75">
      <c r="A27" s="4" t="s">
        <v>18</v>
      </c>
    </row>
  </sheetData>
  <sheetProtection/>
  <printOptions/>
  <pageMargins left="0.75" right="0.75" top="0.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2" sqref="A22:D22"/>
    </sheetView>
  </sheetViews>
  <sheetFormatPr defaultColWidth="9.140625" defaultRowHeight="12.75"/>
  <cols>
    <col min="1" max="1" width="37.140625" style="3" customWidth="1"/>
    <col min="2" max="2" width="20.140625" style="3" customWidth="1"/>
    <col min="3" max="3" width="16.421875" style="3" customWidth="1"/>
    <col min="4" max="4" width="16.00390625" style="3" customWidth="1"/>
    <col min="5" max="5" width="12.28125" style="3" customWidth="1"/>
    <col min="6" max="16384" width="9.140625" style="3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24</v>
      </c>
    </row>
    <row r="5" ht="12.75">
      <c r="A5" s="2" t="s">
        <v>15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4" ht="15.75">
      <c r="A14" s="18" t="s">
        <v>25</v>
      </c>
    </row>
    <row r="15" ht="12.75">
      <c r="A15" s="4" t="s">
        <v>26</v>
      </c>
    </row>
    <row r="16" ht="16.5" thickBot="1">
      <c r="A16" s="18"/>
    </row>
    <row r="17" spans="1:4" ht="32.25" thickBot="1">
      <c r="A17" s="5" t="s">
        <v>7</v>
      </c>
      <c r="B17" s="6" t="s">
        <v>20</v>
      </c>
      <c r="C17" s="6" t="s">
        <v>21</v>
      </c>
      <c r="D17" s="7" t="s">
        <v>17</v>
      </c>
    </row>
    <row r="18" spans="1:5" ht="15.75">
      <c r="A18" s="8" t="s">
        <v>8</v>
      </c>
      <c r="B18" s="9">
        <v>130000</v>
      </c>
      <c r="C18" s="9">
        <v>7000</v>
      </c>
      <c r="D18" s="10">
        <v>15406</v>
      </c>
      <c r="E18" s="19"/>
    </row>
    <row r="19" spans="1:5" ht="15.75">
      <c r="A19" s="11" t="s">
        <v>27</v>
      </c>
      <c r="B19" s="12">
        <v>104279</v>
      </c>
      <c r="C19" s="12">
        <f>4171+4200+1250+2381</f>
        <v>12002</v>
      </c>
      <c r="D19" s="13">
        <v>15265</v>
      </c>
      <c r="E19" s="19"/>
    </row>
    <row r="20" spans="1:5" ht="15.75">
      <c r="A20" s="11" t="s">
        <v>11</v>
      </c>
      <c r="B20" s="12">
        <v>106922</v>
      </c>
      <c r="C20" s="12">
        <f>3208+2408</f>
        <v>5616</v>
      </c>
      <c r="D20" s="13">
        <v>15280</v>
      </c>
      <c r="E20" s="19"/>
    </row>
    <row r="21" spans="1:5" ht="15.75">
      <c r="A21" s="14" t="s">
        <v>12</v>
      </c>
      <c r="B21" s="12">
        <v>103762</v>
      </c>
      <c r="C21" s="12">
        <f>4150+4200+2391</f>
        <v>10741</v>
      </c>
      <c r="D21" s="13">
        <v>15262</v>
      </c>
      <c r="E21" s="19"/>
    </row>
    <row r="22" spans="1:5" ht="16.5" thickBot="1">
      <c r="A22" s="15" t="s">
        <v>31</v>
      </c>
      <c r="B22" s="16">
        <v>84693</v>
      </c>
      <c r="C22" s="16">
        <f>6311+1484+13551</f>
        <v>21346</v>
      </c>
      <c r="D22" s="17">
        <v>14607</v>
      </c>
      <c r="E22" s="19"/>
    </row>
    <row r="24" ht="12.75">
      <c r="A24" s="4" t="s">
        <v>19</v>
      </c>
    </row>
    <row r="25" ht="12.75">
      <c r="A25" s="4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A25" sqref="A25"/>
    </sheetView>
  </sheetViews>
  <sheetFormatPr defaultColWidth="9.140625" defaultRowHeight="12.75"/>
  <cols>
    <col min="1" max="1" width="37.140625" style="3" customWidth="1"/>
    <col min="2" max="2" width="20.140625" style="3" customWidth="1"/>
    <col min="3" max="3" width="16.421875" style="3" customWidth="1"/>
    <col min="4" max="4" width="16.00390625" style="3" customWidth="1"/>
    <col min="5" max="5" width="12.28125" style="3" customWidth="1"/>
    <col min="6" max="16384" width="9.140625" style="3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28</v>
      </c>
    </row>
    <row r="5" ht="12.75">
      <c r="A5" s="2" t="s">
        <v>15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4" ht="15.75">
      <c r="A14" s="18" t="s">
        <v>29</v>
      </c>
    </row>
    <row r="15" ht="12.75">
      <c r="A15" s="4" t="s">
        <v>30</v>
      </c>
    </row>
    <row r="16" ht="16.5" thickBot="1">
      <c r="A16" s="18"/>
    </row>
    <row r="17" spans="1:4" ht="32.25" thickBot="1">
      <c r="A17" s="5" t="s">
        <v>7</v>
      </c>
      <c r="B17" s="6" t="s">
        <v>20</v>
      </c>
      <c r="C17" s="6" t="s">
        <v>21</v>
      </c>
      <c r="D17" s="7" t="s">
        <v>17</v>
      </c>
    </row>
    <row r="18" spans="1:5" ht="15.75">
      <c r="A18" s="23" t="s">
        <v>8</v>
      </c>
      <c r="B18" s="24">
        <v>130000</v>
      </c>
      <c r="C18" s="24">
        <v>7000</v>
      </c>
      <c r="D18" s="25">
        <v>14295</v>
      </c>
      <c r="E18" s="19"/>
    </row>
    <row r="19" spans="1:5" ht="15.75">
      <c r="A19" s="11" t="s">
        <v>27</v>
      </c>
      <c r="B19" s="12">
        <v>106476</v>
      </c>
      <c r="C19" s="12">
        <f>16333+5400+1250+(B19/219*5)</f>
        <v>25413.95890410959</v>
      </c>
      <c r="D19" s="13">
        <v>14165</v>
      </c>
      <c r="E19" s="19"/>
    </row>
    <row r="20" spans="1:5" ht="15.75">
      <c r="A20" s="11" t="s">
        <v>11</v>
      </c>
      <c r="B20" s="12">
        <v>108935</v>
      </c>
      <c r="C20" s="12">
        <f>4357+(B20/222*5)+4200</f>
        <v>11010.490990990991</v>
      </c>
      <c r="D20" s="13">
        <v>14179</v>
      </c>
      <c r="E20" s="19"/>
    </row>
    <row r="21" spans="1:5" ht="15.75">
      <c r="A21" s="14" t="s">
        <v>12</v>
      </c>
      <c r="B21" s="12">
        <v>105776</v>
      </c>
      <c r="C21" s="12">
        <f>4231+(B21/217*5)+4200</f>
        <v>10868.235023041474</v>
      </c>
      <c r="D21" s="13">
        <v>14161</v>
      </c>
      <c r="E21" s="19"/>
    </row>
    <row r="22" spans="1:5" ht="15.75">
      <c r="A22" s="20" t="s">
        <v>33</v>
      </c>
      <c r="B22" s="21">
        <v>98924</v>
      </c>
      <c r="C22" s="21">
        <f>3957+4200</f>
        <v>8157</v>
      </c>
      <c r="D22" s="22">
        <v>14124</v>
      </c>
      <c r="E22" s="19"/>
    </row>
    <row r="23" spans="1:5" ht="15.75">
      <c r="A23" s="20" t="s">
        <v>32</v>
      </c>
      <c r="B23" s="21">
        <v>98924</v>
      </c>
      <c r="C23" s="21">
        <f>3957+4200</f>
        <v>8157</v>
      </c>
      <c r="D23" s="22">
        <v>14124</v>
      </c>
      <c r="E23" s="19"/>
    </row>
    <row r="24" spans="1:5" ht="15.75">
      <c r="A24" s="20" t="s">
        <v>31</v>
      </c>
      <c r="B24" s="21">
        <v>84693</v>
      </c>
      <c r="C24" s="21">
        <f>5049+674+10163+425</f>
        <v>16311</v>
      </c>
      <c r="D24" s="22">
        <v>12925</v>
      </c>
      <c r="E24" s="19"/>
    </row>
    <row r="25" spans="1:5" ht="31.5">
      <c r="A25" s="20" t="s">
        <v>34</v>
      </c>
      <c r="B25" s="21">
        <v>78230</v>
      </c>
      <c r="C25" s="21">
        <f>473+1578+1578+4102+1578+989+989+6915+329+425</f>
        <v>18956</v>
      </c>
      <c r="D25" s="22">
        <v>12889</v>
      </c>
      <c r="E25" s="19"/>
    </row>
    <row r="26" spans="1:5" ht="15.75">
      <c r="A26" s="20" t="s">
        <v>36</v>
      </c>
      <c r="B26" s="21">
        <v>0</v>
      </c>
      <c r="C26" s="21">
        <v>0</v>
      </c>
      <c r="D26" s="22">
        <v>0</v>
      </c>
      <c r="E26" s="19"/>
    </row>
    <row r="27" spans="1:5" ht="15.75">
      <c r="A27" s="20" t="s">
        <v>35</v>
      </c>
      <c r="B27" s="21">
        <v>22261</v>
      </c>
      <c r="C27" s="21">
        <v>0</v>
      </c>
      <c r="D27" s="22">
        <v>65</v>
      </c>
      <c r="E27" s="19"/>
    </row>
    <row r="28" spans="1:5" ht="15.75">
      <c r="A28" s="20" t="s">
        <v>35</v>
      </c>
      <c r="B28" s="21">
        <v>0</v>
      </c>
      <c r="C28" s="21">
        <v>0</v>
      </c>
      <c r="D28" s="22">
        <v>0</v>
      </c>
      <c r="E28" s="19"/>
    </row>
    <row r="29" spans="1:5" ht="15.75">
      <c r="A29" s="20" t="s">
        <v>35</v>
      </c>
      <c r="B29" s="21">
        <v>0</v>
      </c>
      <c r="C29" s="21">
        <v>0</v>
      </c>
      <c r="D29" s="22">
        <v>0</v>
      </c>
      <c r="E29" s="19"/>
    </row>
    <row r="30" spans="1:5" ht="15.75">
      <c r="A30" s="20" t="s">
        <v>35</v>
      </c>
      <c r="B30" s="21">
        <v>0</v>
      </c>
      <c r="C30" s="21">
        <f>1397+1706</f>
        <v>3103</v>
      </c>
      <c r="D30" s="22">
        <v>0</v>
      </c>
      <c r="E30" s="19"/>
    </row>
    <row r="31" spans="1:5" ht="16.5" thickBot="1">
      <c r="A31" s="15"/>
      <c r="B31" s="16"/>
      <c r="C31" s="16"/>
      <c r="D31" s="17"/>
      <c r="E31" s="19"/>
    </row>
    <row r="33" ht="12.75">
      <c r="A33" s="4" t="s">
        <v>40</v>
      </c>
    </row>
    <row r="34" ht="12.75">
      <c r="A34" s="4" t="s">
        <v>39</v>
      </c>
    </row>
    <row r="35" ht="12.75">
      <c r="A35" s="4" t="s">
        <v>18</v>
      </c>
    </row>
    <row r="36" ht="12.75">
      <c r="A36" s="4" t="s">
        <v>37</v>
      </c>
    </row>
    <row r="37" ht="12.75">
      <c r="A37" s="4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7.140625" style="3" customWidth="1"/>
    <col min="2" max="2" width="20.140625" style="3" customWidth="1"/>
    <col min="3" max="3" width="16.421875" style="3" customWidth="1"/>
    <col min="4" max="4" width="16.00390625" style="3" customWidth="1"/>
    <col min="5" max="5" width="12.28125" style="3" customWidth="1"/>
    <col min="6" max="16384" width="9.140625" style="3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41</v>
      </c>
    </row>
    <row r="5" ht="12.75">
      <c r="A5" s="2" t="s">
        <v>15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4" ht="15.75">
      <c r="A14" s="18" t="s">
        <v>42</v>
      </c>
    </row>
    <row r="15" ht="12.75">
      <c r="A15" s="4" t="s">
        <v>43</v>
      </c>
    </row>
    <row r="16" ht="16.5" thickBot="1">
      <c r="A16" s="18"/>
    </row>
    <row r="17" spans="1:4" ht="32.25" thickBot="1">
      <c r="A17" s="26" t="s">
        <v>7</v>
      </c>
      <c r="B17" s="27" t="s">
        <v>20</v>
      </c>
      <c r="C17" s="27" t="s">
        <v>45</v>
      </c>
      <c r="D17" s="28" t="s">
        <v>46</v>
      </c>
    </row>
    <row r="18" spans="1:5" ht="15.75">
      <c r="A18" s="23" t="s">
        <v>48</v>
      </c>
      <c r="B18" s="24">
        <f>0.5*130000</f>
        <v>65000</v>
      </c>
      <c r="C18" s="24">
        <v>0</v>
      </c>
      <c r="D18" s="25">
        <f>0.5*14883</f>
        <v>7441.5</v>
      </c>
      <c r="E18" s="19"/>
    </row>
    <row r="19" spans="1:5" ht="15.75">
      <c r="A19" s="11" t="s">
        <v>50</v>
      </c>
      <c r="B19" s="12">
        <v>40000</v>
      </c>
      <c r="C19" s="12">
        <v>2105</v>
      </c>
      <c r="D19" s="13">
        <v>0</v>
      </c>
      <c r="E19" s="19"/>
    </row>
    <row r="20" spans="1:5" ht="15.75">
      <c r="A20" s="11" t="s">
        <v>27</v>
      </c>
      <c r="B20" s="12">
        <v>106476</v>
      </c>
      <c r="C20" s="12">
        <v>25698</v>
      </c>
      <c r="D20" s="13">
        <v>14753</v>
      </c>
      <c r="E20" s="19"/>
    </row>
    <row r="21" spans="1:5" ht="15.75">
      <c r="A21" s="11" t="s">
        <v>11</v>
      </c>
      <c r="B21" s="12">
        <v>110964</v>
      </c>
      <c r="C21" s="12">
        <v>11138</v>
      </c>
      <c r="D21" s="13">
        <v>14778</v>
      </c>
      <c r="E21" s="19"/>
    </row>
    <row r="22" spans="1:5" ht="15.75">
      <c r="A22" s="14" t="s">
        <v>12</v>
      </c>
      <c r="B22" s="12">
        <v>105959</v>
      </c>
      <c r="C22" s="12">
        <v>12079</v>
      </c>
      <c r="D22" s="13">
        <v>14750</v>
      </c>
      <c r="E22" s="19"/>
    </row>
    <row r="23" spans="1:5" ht="15.75">
      <c r="A23" s="20" t="s">
        <v>33</v>
      </c>
      <c r="B23" s="21">
        <v>100953</v>
      </c>
      <c r="C23" s="21">
        <v>10564</v>
      </c>
      <c r="D23" s="22">
        <v>14723</v>
      </c>
      <c r="E23" s="19"/>
    </row>
    <row r="24" spans="1:5" ht="15.75">
      <c r="A24" s="20" t="s">
        <v>33</v>
      </c>
      <c r="B24" s="21">
        <v>97260</v>
      </c>
      <c r="C24" s="21">
        <v>10331</v>
      </c>
      <c r="D24" s="22">
        <v>14702</v>
      </c>
      <c r="E24" s="19"/>
    </row>
    <row r="25" spans="1:5" ht="15.75">
      <c r="A25" s="20" t="s">
        <v>47</v>
      </c>
      <c r="B25" s="21">
        <v>0</v>
      </c>
      <c r="C25" s="21">
        <v>0</v>
      </c>
      <c r="D25" s="22">
        <v>0</v>
      </c>
      <c r="E25" s="19"/>
    </row>
    <row r="26" spans="1:5" ht="16.5" thickBot="1">
      <c r="A26" s="15"/>
      <c r="B26" s="16"/>
      <c r="C26" s="16"/>
      <c r="D26" s="17"/>
      <c r="E26" s="19"/>
    </row>
    <row r="27" ht="12.75">
      <c r="A27" s="3" t="s">
        <v>49</v>
      </c>
    </row>
    <row r="28" ht="12.75">
      <c r="A28" s="29" t="s">
        <v>52</v>
      </c>
    </row>
    <row r="29" ht="12.75">
      <c r="A29" s="4" t="s">
        <v>51</v>
      </c>
    </row>
    <row r="30" ht="12.75">
      <c r="A30" s="29" t="s">
        <v>53</v>
      </c>
    </row>
    <row r="31" ht="12.75">
      <c r="A31" s="29" t="s">
        <v>54</v>
      </c>
    </row>
    <row r="32" ht="12.75">
      <c r="A32" s="4" t="s">
        <v>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7.140625" style="3" customWidth="1"/>
    <col min="2" max="2" width="20.140625" style="3" customWidth="1"/>
    <col min="3" max="3" width="16.421875" style="3" customWidth="1"/>
    <col min="4" max="4" width="16.00390625" style="3" customWidth="1"/>
    <col min="5" max="5" width="12.28125" style="3" customWidth="1"/>
    <col min="6" max="16384" width="9.140625" style="3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55</v>
      </c>
    </row>
    <row r="5" ht="12.75">
      <c r="A5" s="2" t="s">
        <v>15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4" ht="15.75">
      <c r="A14" s="18" t="s">
        <v>56</v>
      </c>
    </row>
    <row r="15" ht="12.75">
      <c r="A15" s="4" t="s">
        <v>57</v>
      </c>
    </row>
    <row r="16" ht="16.5" thickBot="1">
      <c r="A16" s="18"/>
    </row>
    <row r="17" spans="1:4" ht="32.25" thickBot="1">
      <c r="A17" s="26" t="s">
        <v>7</v>
      </c>
      <c r="B17" s="27" t="s">
        <v>20</v>
      </c>
      <c r="C17" s="27" t="s">
        <v>45</v>
      </c>
      <c r="D17" s="28" t="s">
        <v>46</v>
      </c>
    </row>
    <row r="18" spans="1:5" ht="15.75">
      <c r="A18" s="23" t="s">
        <v>59</v>
      </c>
      <c r="B18" s="24">
        <v>15000</v>
      </c>
      <c r="C18" s="24">
        <v>0</v>
      </c>
      <c r="D18" s="25">
        <v>0</v>
      </c>
      <c r="E18" s="19"/>
    </row>
    <row r="19" spans="1:5" ht="15.75">
      <c r="A19" s="8" t="s">
        <v>58</v>
      </c>
      <c r="B19" s="9">
        <v>121266</v>
      </c>
      <c r="C19" s="9">
        <f>8659+9000+10080+8654+15000+18000</f>
        <v>69393</v>
      </c>
      <c r="D19" s="10">
        <v>13231.580953846156</v>
      </c>
      <c r="E19" s="19"/>
    </row>
    <row r="20" spans="1:5" ht="15.75">
      <c r="A20" s="11" t="s">
        <v>27</v>
      </c>
      <c r="B20" s="12">
        <v>105411</v>
      </c>
      <c r="C20" s="30">
        <f>(B20/219*10)+7800+1250+17500</f>
        <v>31363.287671232876</v>
      </c>
      <c r="D20" s="13">
        <v>12880.652965982383</v>
      </c>
      <c r="E20" s="19"/>
    </row>
    <row r="21" spans="1:5" ht="15.75">
      <c r="A21" s="11" t="s">
        <v>11</v>
      </c>
      <c r="B21" s="12">
        <v>109855</v>
      </c>
      <c r="C21" s="30">
        <f>4394+(B21/222*5)+4200</f>
        <v>11068.211711711712</v>
      </c>
      <c r="D21" s="13">
        <v>12906.426343569836</v>
      </c>
      <c r="E21" s="19"/>
    </row>
    <row r="22" spans="1:5" ht="15.75">
      <c r="A22" s="14" t="s">
        <v>12</v>
      </c>
      <c r="B22" s="30">
        <v>104899</v>
      </c>
      <c r="C22" s="30">
        <f>4196+(B22/217*5)+6600</f>
        <v>13213.027649769585</v>
      </c>
      <c r="D22" s="31">
        <v>12878</v>
      </c>
      <c r="E22" s="19"/>
    </row>
    <row r="23" spans="1:5" ht="15.75">
      <c r="A23" s="20" t="s">
        <v>33</v>
      </c>
      <c r="B23" s="32">
        <v>99944</v>
      </c>
      <c r="C23" s="30">
        <f>3998+(B23/217*5)+4200</f>
        <v>10500.857142857143</v>
      </c>
      <c r="D23" s="33">
        <v>12849</v>
      </c>
      <c r="E23" s="19"/>
    </row>
    <row r="24" spans="1:5" ht="15.75">
      <c r="A24" s="20" t="s">
        <v>33</v>
      </c>
      <c r="B24" s="32">
        <v>96288</v>
      </c>
      <c r="C24" s="30">
        <f>3852+(B24/217*5)+1000+4200</f>
        <v>11270.617511520737</v>
      </c>
      <c r="D24" s="33">
        <v>12828</v>
      </c>
      <c r="E24" s="19"/>
    </row>
    <row r="25" spans="1:5" ht="15.75">
      <c r="A25" s="20" t="s">
        <v>60</v>
      </c>
      <c r="B25" s="21">
        <v>85091</v>
      </c>
      <c r="C25" s="21">
        <f>103087.57-85091</f>
        <v>17996.570000000007</v>
      </c>
      <c r="D25" s="22">
        <f>6354/0.6</f>
        <v>10590</v>
      </c>
      <c r="E25" s="19"/>
    </row>
    <row r="26" spans="1:5" ht="16.5" thickBot="1">
      <c r="A26" s="15"/>
      <c r="B26" s="16"/>
      <c r="C26" s="16"/>
      <c r="D26" s="17"/>
      <c r="E26" s="19"/>
    </row>
    <row r="27" spans="1:5" ht="15.75">
      <c r="A27" s="34"/>
      <c r="B27" s="35"/>
      <c r="C27" s="35"/>
      <c r="D27" s="35"/>
      <c r="E27" s="19"/>
    </row>
    <row r="28" ht="12.75">
      <c r="A28" s="29" t="s">
        <v>52</v>
      </c>
    </row>
    <row r="29" ht="12.75">
      <c r="A29" s="4" t="s">
        <v>51</v>
      </c>
    </row>
    <row r="30" ht="12.75">
      <c r="A30" s="29" t="s">
        <v>53</v>
      </c>
    </row>
    <row r="31" ht="12.75">
      <c r="A31" s="29"/>
    </row>
    <row r="32" ht="12.75">
      <c r="A3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Windows User</cp:lastModifiedBy>
  <cp:lastPrinted>2017-01-26T19:25:16Z</cp:lastPrinted>
  <dcterms:created xsi:type="dcterms:W3CDTF">2010-07-19T13:20:06Z</dcterms:created>
  <dcterms:modified xsi:type="dcterms:W3CDTF">2017-01-26T20:02:33Z</dcterms:modified>
  <cp:category/>
  <cp:version/>
  <cp:contentType/>
  <cp:contentStatus/>
</cp:coreProperties>
</file>